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13_ncr:1_{EA2083E8-1CD6-4375-AC8D-303A8903B896}" xr6:coauthVersionLast="47" xr6:coauthVersionMax="47" xr10:uidLastSave="{00000000-0000-0000-0000-000000000000}"/>
  <bookViews>
    <workbookView xWindow="-28920" yWindow="-120" windowWidth="29040" windowHeight="15720" xr2:uid="{00000000-000D-0000-FFFF-FFFF00000000}"/>
  </bookViews>
  <sheets>
    <sheet name="Building Fee Calculator" sheetId="1" r:id="rId1"/>
  </sheets>
  <externalReferences>
    <externalReference r:id="rId2"/>
  </externalReferences>
  <definedNames>
    <definedName name="_1">'[1]Building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definedName>
    <definedName name="_4_Inch_Turbo_Water_Meter">'Building Fee Calculator'!$C$27</definedName>
    <definedName name="Meter_Type">'Building Fee Calculator'!$C$27:$C$28</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0">'Building Fee Calculator'!$A$1:$H$41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F28" i="1" l="1"/>
  <c r="F27" i="1"/>
  <c r="G27" i="1" l="1"/>
  <c r="D22" i="1" l="1"/>
  <c r="D21" i="1"/>
  <c r="D20" i="1"/>
  <c r="F21" i="1" l="1"/>
  <c r="F20" i="1"/>
  <c r="F22" i="1"/>
  <c r="B27" i="1"/>
  <c r="B28" i="1"/>
  <c r="G21" i="1" l="1"/>
  <c r="G17" i="1"/>
  <c r="G18" i="1" l="1"/>
  <c r="G31" i="1"/>
  <c r="G30" i="1"/>
  <c r="G28" i="1"/>
  <c r="A32" i="1" l="1"/>
  <c r="G32" i="1" s="1"/>
  <c r="G37" i="1" l="1"/>
  <c r="G36" i="1"/>
  <c r="A33" i="1"/>
  <c r="G33" i="1" s="1"/>
  <c r="D23" i="1"/>
  <c r="D25" i="1"/>
  <c r="D24" i="1"/>
  <c r="G25" i="1"/>
  <c r="G24" i="1"/>
  <c r="D37" i="1" l="1"/>
  <c r="G22" i="1" l="1"/>
  <c r="G20" i="1"/>
  <c r="G34" i="1" l="1"/>
  <c r="G38" i="1" l="1"/>
</calcChain>
</file>

<file path=xl/sharedStrings.xml><?xml version="1.0" encoding="utf-8"?>
<sst xmlns="http://schemas.openxmlformats.org/spreadsheetml/2006/main" count="74" uniqueCount="62">
  <si>
    <t>QUANTITY</t>
  </si>
  <si>
    <t>DESCRIPTION</t>
  </si>
  <si>
    <t>UNIT PRICE</t>
  </si>
  <si>
    <t>AMOUNT</t>
  </si>
  <si>
    <t>TOTAL</t>
  </si>
  <si>
    <t>Inspection with No Public Main (services existing or new services installed)</t>
  </si>
  <si>
    <t>3/4 Inch Water Meter</t>
  </si>
  <si>
    <t>1 1/2 Inch Water Meter</t>
  </si>
  <si>
    <t>2 Inch Water Meter</t>
  </si>
  <si>
    <t>METER FEES:</t>
  </si>
  <si>
    <t>Select Meter Size</t>
  </si>
  <si>
    <t>UNIT TO ENTER</t>
  </si>
  <si>
    <t>Number of Sheets</t>
  </si>
  <si>
    <t>Square Acres</t>
  </si>
  <si>
    <t>PUBLIC WORKS PLAN REVIEW FEES:</t>
  </si>
  <si>
    <t xml:space="preserve">PUBLIC WORKS INSPECTION FEES: </t>
  </si>
  <si>
    <t>Dollars</t>
  </si>
  <si>
    <t xml:space="preserve">Building plan review fee </t>
  </si>
  <si>
    <t>Fire plan review fee</t>
  </si>
  <si>
    <t>% of Building Permit Fee</t>
  </si>
  <si>
    <t>BUILDING PERMIT FEES:</t>
  </si>
  <si>
    <t>IMPACT AND ASSESSMENT FEES:</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</si>
  <si>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</si>
  <si>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</si>
  <si>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t>
  </si>
  <si>
    <t xml:space="preserve">Total Project Value (There is a $50.00 base fee + $5.50 per $1000 project value) </t>
  </si>
  <si>
    <t>Inspection for New Water Main, Hydrants, Fire Line, and/or Sewer Main ($0.69 per linear foot)</t>
  </si>
  <si>
    <t>Based off information provided in "PUBLIC WORKS PLAN REVIEW FEES" section</t>
  </si>
  <si>
    <t>Fill out the applicable blue fields with the information descibed in the "Description" column.</t>
  </si>
  <si>
    <t>Verify that you're using the correct unit, which is specified in the "Unit to Enter" column.</t>
  </si>
  <si>
    <t>Drainage Plan Review</t>
  </si>
  <si>
    <t>Qualified Licesned Professional Engineer (QLPE) Review: needed for projects with new main</t>
  </si>
  <si>
    <t>How to use this worksheet:</t>
  </si>
  <si>
    <t xml:space="preserve">Many fees are auto calculated based off information you provide in various locations. These are estimates only. </t>
  </si>
  <si>
    <r>
      <t xml:space="preserve">Multi Family Building Permit and Fee Calculator </t>
    </r>
    <r>
      <rPr>
        <b/>
        <sz val="14"/>
        <color rgb="FFFF0000"/>
        <rFont val="Arial"/>
        <family val="2"/>
      </rPr>
      <t>(Estimate Only)</t>
    </r>
  </si>
  <si>
    <t>Enter the total number of dwelling units</t>
  </si>
  <si>
    <t>Number of Units</t>
  </si>
  <si>
    <t xml:space="preserve">Water Assessment </t>
  </si>
  <si>
    <t>Sewer Assessment</t>
  </si>
  <si>
    <t xml:space="preserve">Meridian Police Impact Fee </t>
  </si>
  <si>
    <t xml:space="preserve">Meridian Fire Impact Fee </t>
  </si>
  <si>
    <t xml:space="preserve">Meridian Park Impact Fee </t>
  </si>
  <si>
    <t>Select Building Height</t>
  </si>
  <si>
    <t>Lowrise (1-2 floors)</t>
  </si>
  <si>
    <t>Midrise (3-10 floors)</t>
  </si>
  <si>
    <t>Does your project have new water or sewer main (including fire hydrants or fire service lines)</t>
  </si>
  <si>
    <t>Linear Feet</t>
  </si>
  <si>
    <t>Select</t>
  </si>
  <si>
    <t>Yes</t>
  </si>
  <si>
    <t>No</t>
  </si>
  <si>
    <t>Does your project have any new water or sewer service lines?</t>
  </si>
  <si>
    <t>New Water Main, Hydrants, Fire Line, and/or Sewer Main ($288 base fee + $0.40 per linear foot)</t>
  </si>
  <si>
    <t>Flat Fee</t>
  </si>
  <si>
    <t>.</t>
  </si>
  <si>
    <t>1 1/2 Inch Landscape Meter</t>
  </si>
  <si>
    <t>2 Inch Landscape Meter</t>
  </si>
  <si>
    <t>4 Inch Landscape Meter</t>
  </si>
  <si>
    <t>Total Square Footage of Climate Controlled Space</t>
  </si>
  <si>
    <t>Square Feet</t>
  </si>
  <si>
    <t>Average Unit Size</t>
  </si>
  <si>
    <t>N/A</t>
  </si>
  <si>
    <t>Ada County Highway District Impact Fee. To obtain an estimate of fees email impactfees@achdidaho.org  or call (208) 387-6710. Enter total under "AMOUNT"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</si>
</sst>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21"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sz val="12"/>
      <name val="Arial"/>
      <family val="2"/>
    </font>
    <font>
      <b/>
      <sz val="14"/>
      <color rgb="FFFF0000"/>
      <name val="Arial"/>
      <family val="2"/>
    </font>
    <font>
      <sz val="10"/>
      <color rgb="FFFF000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cellStyleXfs>
  <cellXfs count="134">
    <xf numFmtId="0" fontId="0" fillId="0" borderId="0" xfId="0"/>
    <xf numFmtId="0" fontId="0" fillId="0" borderId="0" xfId="0"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13" fillId="2" borderId="0" xfId="0" applyFont="1" applyFill="1" applyAlignment="1">
      <alignment horizontal="center" vertical="center"/>
    </xf>
    <xf numFmtId="0" fontId="0" fillId="2" borderId="0" xfId="0" applyFill="1" applyAlignment="1">
      <alignment horizontal="center" vertical="center"/>
    </xf>
    <xf numFmtId="0" fontId="13" fillId="2" borderId="0" xfId="0" applyFont="1" applyFill="1" applyAlignment="1">
      <alignment vertical="center"/>
    </xf>
    <xf numFmtId="0" fontId="0" fillId="2" borderId="0" xfId="0" applyFill="1" applyAlignment="1">
      <alignment vertical="center"/>
    </xf>
    <xf numFmtId="0" fontId="3" fillId="0" borderId="12" xfId="0" applyFont="1" applyBorder="1" applyAlignment="1">
      <alignment horizontal="left" vertical="center"/>
    </xf>
    <xf numFmtId="166" fontId="7" fillId="2" borderId="0" xfId="0" applyNumberFormat="1" applyFont="1" applyFill="1" applyAlignment="1">
      <alignment horizontal="center" vertical="center"/>
    </xf>
    <xf numFmtId="0" fontId="1" fillId="2" borderId="0" xfId="0" applyFont="1" applyFill="1" applyAlignment="1">
      <alignment horizontal="right" vertical="center"/>
    </xf>
    <xf numFmtId="0" fontId="3" fillId="0" borderId="7" xfId="0" applyFont="1" applyBorder="1" applyAlignment="1">
      <alignment horizontal="left" vertical="center"/>
    </xf>
    <xf numFmtId="0" fontId="0" fillId="2" borderId="0" xfId="0" applyFill="1" applyAlignment="1">
      <alignment horizontal="right" vertical="center"/>
    </xf>
    <xf numFmtId="0" fontId="0" fillId="2" borderId="1" xfId="0" applyFill="1" applyBorder="1" applyAlignment="1">
      <alignment horizontal="left" vertical="center"/>
    </xf>
    <xf numFmtId="9" fontId="0" fillId="2" borderId="1" xfId="0" applyNumberFormat="1" applyFill="1" applyBorder="1" applyAlignment="1">
      <alignment horizontal="center" vertical="center"/>
    </xf>
    <xf numFmtId="44" fontId="1" fillId="0" borderId="1" xfId="0" applyNumberFormat="1" applyFont="1" applyBorder="1" applyAlignment="1">
      <alignment horizontal="right" vertical="center"/>
    </xf>
    <xf numFmtId="0" fontId="14" fillId="2" borderId="8" xfId="0" applyFont="1" applyFill="1" applyBorder="1" applyAlignment="1">
      <alignment horizontal="center" vertical="center"/>
    </xf>
    <xf numFmtId="0" fontId="3" fillId="0" borderId="2" xfId="0" applyFont="1" applyBorder="1" applyAlignment="1">
      <alignment horizontal="left" vertical="center"/>
    </xf>
    <xf numFmtId="166" fontId="7" fillId="0" borderId="1" xfId="0" applyNumberFormat="1" applyFont="1" applyBorder="1" applyAlignment="1">
      <alignment horizontal="center" vertical="center"/>
    </xf>
    <xf numFmtId="166" fontId="7" fillId="0" borderId="10" xfId="0" applyNumberFormat="1" applyFont="1" applyBorder="1" applyAlignment="1">
      <alignment horizontal="center" vertical="center"/>
    </xf>
    <xf numFmtId="44" fontId="1" fillId="0" borderId="10" xfId="0" applyNumberFormat="1" applyFont="1" applyBorder="1" applyAlignment="1">
      <alignment horizontal="right" vertical="center"/>
    </xf>
    <xf numFmtId="8" fontId="3" fillId="2" borderId="1" xfId="0" applyNumberFormat="1" applyFont="1" applyFill="1" applyBorder="1" applyAlignment="1">
      <alignment horizontal="center" vertical="center"/>
    </xf>
    <xf numFmtId="0" fontId="3" fillId="0" borderId="1" xfId="0" applyFont="1" applyBorder="1" applyAlignment="1">
      <alignment horizontal="center"/>
    </xf>
    <xf numFmtId="166" fontId="3" fillId="0" borderId="11" xfId="0" applyNumberFormat="1" applyFont="1" applyBorder="1" applyAlignment="1">
      <alignment horizontal="center"/>
    </xf>
    <xf numFmtId="44" fontId="1" fillId="0" borderId="11" xfId="0" applyNumberFormat="1" applyFont="1" applyBorder="1" applyAlignment="1">
      <alignment horizontal="right"/>
    </xf>
    <xf numFmtId="0" fontId="3" fillId="0" borderId="2" xfId="0" applyFont="1" applyBorder="1" applyAlignment="1">
      <alignment vertical="center"/>
    </xf>
    <xf numFmtId="0" fontId="0" fillId="2" borderId="0" xfId="0" applyFill="1"/>
    <xf numFmtId="0" fontId="3" fillId="0" borderId="1" xfId="0" applyFont="1" applyBorder="1" applyAlignment="1">
      <alignment horizontal="left" vertical="center"/>
    </xf>
    <xf numFmtId="0" fontId="10" fillId="0" borderId="0" xfId="0" applyFont="1" applyAlignment="1">
      <alignment horizontal="center" vertical="center"/>
    </xf>
    <xf numFmtId="164" fontId="17" fillId="0" borderId="6" xfId="0" applyNumberFormat="1" applyFont="1" applyBorder="1" applyAlignment="1">
      <alignment horizontal="center" vertical="center"/>
    </xf>
    <xf numFmtId="44" fontId="17" fillId="0" borderId="6" xfId="0" applyNumberFormat="1" applyFont="1" applyBorder="1" applyAlignment="1">
      <alignment horizontal="right" vertical="center"/>
    </xf>
    <xf numFmtId="164" fontId="1" fillId="0" borderId="0" xfId="0" applyNumberFormat="1" applyFont="1" applyAlignment="1">
      <alignment horizontal="center" vertical="center"/>
    </xf>
    <xf numFmtId="44" fontId="1" fillId="0" borderId="0" xfId="0" applyNumberFormat="1" applyFont="1" applyAlignment="1">
      <alignment horizontal="right" vertical="center"/>
    </xf>
    <xf numFmtId="0" fontId="1" fillId="0" borderId="0" xfId="0" applyFont="1" applyAlignment="1">
      <alignment horizontal="center" vertical="center"/>
    </xf>
    <xf numFmtId="0" fontId="6" fillId="0" borderId="0" xfId="0" applyFont="1" applyAlignment="1">
      <alignment horizontal="center" vertical="center"/>
    </xf>
    <xf numFmtId="165" fontId="0" fillId="0" borderId="0" xfId="0" applyNumberFormat="1" applyAlignment="1">
      <alignment horizontal="center" vertical="center"/>
    </xf>
    <xf numFmtId="8" fontId="0" fillId="0" borderId="0" xfId="0" applyNumberFormat="1" applyAlignment="1">
      <alignment horizontal="center" vertical="center"/>
    </xf>
    <xf numFmtId="8" fontId="0" fillId="0" borderId="0" xfId="0" applyNumberFormat="1" applyAlignment="1">
      <alignment vertical="center"/>
    </xf>
    <xf numFmtId="8" fontId="0" fillId="0" borderId="0" xfId="0" applyNumberFormat="1" applyAlignment="1">
      <alignment horizontal="left" vertical="center"/>
    </xf>
    <xf numFmtId="0" fontId="0" fillId="0" borderId="0" xfId="0" applyAlignment="1">
      <alignment horizontal="center"/>
    </xf>
    <xf numFmtId="0" fontId="13" fillId="2" borderId="0" xfId="0" applyFont="1" applyFill="1" applyAlignment="1">
      <alignment horizontal="center"/>
    </xf>
    <xf numFmtId="0" fontId="0" fillId="2" borderId="0" xfId="0" applyFill="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left" vertical="center"/>
    </xf>
    <xf numFmtId="0" fontId="14" fillId="0" borderId="0" xfId="1" applyFont="1" applyAlignment="1">
      <alignment horizontal="left" vertical="center" wrapText="1"/>
    </xf>
    <xf numFmtId="0" fontId="3" fillId="0" borderId="14" xfId="0" applyFont="1" applyBorder="1"/>
    <xf numFmtId="0" fontId="3" fillId="0" borderId="15" xfId="0" applyFont="1" applyBorder="1"/>
    <xf numFmtId="3" fontId="3" fillId="2" borderId="9" xfId="0" applyNumberFormat="1" applyFont="1" applyFill="1" applyBorder="1" applyAlignment="1">
      <alignment horizontal="center" vertical="center" wrapText="1"/>
    </xf>
    <xf numFmtId="3" fontId="0" fillId="2" borderId="9" xfId="0" applyNumberFormat="1" applyFill="1" applyBorder="1" applyAlignment="1">
      <alignment horizontal="center" vertical="center" wrapText="1"/>
    </xf>
    <xf numFmtId="0" fontId="3" fillId="2"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16" fillId="0" borderId="0" xfId="0" applyFont="1" applyAlignment="1">
      <alignment vertical="center"/>
    </xf>
    <xf numFmtId="166" fontId="7" fillId="0" borderId="0" xfId="0" applyNumberFormat="1" applyFont="1" applyAlignment="1">
      <alignment horizontal="center" vertical="center"/>
    </xf>
    <xf numFmtId="0" fontId="3" fillId="0" borderId="1" xfId="0" applyFont="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2" borderId="0" xfId="0" applyFont="1" applyFill="1" applyAlignment="1">
      <alignment vertical="center"/>
    </xf>
    <xf numFmtId="0" fontId="19" fillId="2" borderId="0" xfId="0" applyFont="1" applyFill="1"/>
    <xf numFmtId="0" fontId="19" fillId="0" borderId="0" xfId="0" applyFont="1"/>
    <xf numFmtId="0" fontId="3" fillId="2" borderId="1" xfId="0" applyFont="1" applyFill="1" applyBorder="1" applyAlignment="1">
      <alignment horizontal="center" vertical="center"/>
    </xf>
    <xf numFmtId="1"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1" fillId="5" borderId="1" xfId="0" applyFont="1" applyFill="1" applyBorder="1" applyAlignment="1">
      <alignment horizontal="center" vertical="center"/>
    </xf>
    <xf numFmtId="0" fontId="1" fillId="5" borderId="1" xfId="0" applyFont="1" applyFill="1" applyBorder="1" applyAlignment="1">
      <alignment horizontal="right" vertical="center"/>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3" fillId="3" borderId="4" xfId="0" applyFont="1" applyFill="1" applyBorder="1" applyAlignment="1">
      <alignment horizontal="center" vertical="center"/>
    </xf>
    <xf numFmtId="166" fontId="7" fillId="3" borderId="0" xfId="0" applyNumberFormat="1" applyFont="1" applyFill="1" applyAlignment="1">
      <alignment horizontal="center" vertical="center"/>
    </xf>
    <xf numFmtId="44" fontId="1" fillId="3" borderId="4" xfId="0" applyNumberFormat="1" applyFont="1" applyFill="1" applyBorder="1" applyAlignment="1">
      <alignment horizontal="right" vertical="center"/>
    </xf>
    <xf numFmtId="0" fontId="0" fillId="3" borderId="0" xfId="0" applyFill="1" applyAlignment="1">
      <alignment horizontal="center" vertical="center"/>
    </xf>
    <xf numFmtId="166" fontId="0" fillId="3" borderId="0" xfId="0" applyNumberFormat="1" applyFill="1" applyAlignment="1">
      <alignment horizontal="center" vertical="center"/>
    </xf>
    <xf numFmtId="0" fontId="1" fillId="3" borderId="0" xfId="0" applyFont="1" applyFill="1" applyAlignment="1">
      <alignment horizontal="right" vertical="center"/>
    </xf>
    <xf numFmtId="166" fontId="7" fillId="6" borderId="1" xfId="0" applyNumberFormat="1" applyFont="1" applyFill="1" applyBorder="1" applyAlignment="1" applyProtection="1">
      <alignment horizontal="center" vertical="center"/>
      <protection locked="0"/>
    </xf>
    <xf numFmtId="0" fontId="3" fillId="2" borderId="0" xfId="0" applyFont="1" applyFill="1" applyAlignment="1">
      <alignment horizontal="right" vertical="center"/>
    </xf>
    <xf numFmtId="0" fontId="16" fillId="0" borderId="0" xfId="0" applyFont="1" applyAlignment="1">
      <alignment horizontal="center"/>
    </xf>
    <xf numFmtId="0" fontId="16" fillId="0" borderId="0" xfId="0" applyFont="1" applyAlignment="1">
      <alignment horizontal="center" vertical="center"/>
    </xf>
    <xf numFmtId="0" fontId="19" fillId="2" borderId="0" xfId="0" applyFont="1" applyFill="1" applyAlignment="1">
      <alignment horizontal="center"/>
    </xf>
    <xf numFmtId="0" fontId="19" fillId="2" borderId="0" xfId="0" applyFont="1" applyFill="1" applyAlignment="1">
      <alignment horizontal="center" vertical="center"/>
    </xf>
    <xf numFmtId="166" fontId="0" fillId="4" borderId="10" xfId="0" applyNumberFormat="1" applyFill="1" applyBorder="1" applyAlignment="1" applyProtection="1">
      <alignment horizontal="center" vertical="center"/>
      <protection locked="0"/>
    </xf>
    <xf numFmtId="0" fontId="0" fillId="2" borderId="13" xfId="0" applyFill="1" applyBorder="1" applyAlignment="1">
      <alignment horizontal="left" vertical="center"/>
    </xf>
    <xf numFmtId="1" fontId="3" fillId="2" borderId="1" xfId="0" applyNumberFormat="1" applyFont="1" applyFill="1" applyBorder="1" applyAlignment="1">
      <alignment horizontal="center" vertical="center"/>
    </xf>
    <xf numFmtId="0" fontId="16" fillId="2" borderId="0" xfId="0" applyFont="1" applyFill="1" applyAlignment="1">
      <alignment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1" fillId="5"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6" fillId="2" borderId="0" xfId="0" applyFont="1" applyFill="1" applyAlignment="1">
      <alignment horizontal="center"/>
    </xf>
    <xf numFmtId="0" fontId="15" fillId="2" borderId="0" xfId="0" applyFont="1" applyFill="1" applyAlignment="1">
      <alignment horizontal="center"/>
    </xf>
    <xf numFmtId="0" fontId="16" fillId="2" borderId="0" xfId="0" applyFont="1" applyFill="1"/>
    <xf numFmtId="44" fontId="1" fillId="4" borderId="1" xfId="0" applyNumberFormat="1" applyFont="1" applyFill="1" applyBorder="1" applyAlignment="1" applyProtection="1">
      <alignment horizontal="right" vertical="center"/>
      <protection locked="0"/>
    </xf>
    <xf numFmtId="0" fontId="0" fillId="2" borderId="1" xfId="0" applyFill="1" applyBorder="1" applyAlignment="1" applyProtection="1">
      <alignment horizontal="center" vertical="center"/>
      <protection locked="0"/>
    </xf>
    <xf numFmtId="0" fontId="20" fillId="0" borderId="1" xfId="0" applyFont="1" applyBorder="1" applyAlignment="1">
      <alignment vertical="center" wrapText="1"/>
    </xf>
    <xf numFmtId="0" fontId="11" fillId="0" borderId="0" xfId="0" applyFont="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12" fillId="4" borderId="0" xfId="0" applyFont="1" applyFill="1" applyAlignment="1">
      <alignment horizontal="center"/>
    </xf>
    <xf numFmtId="0" fontId="11" fillId="4" borderId="0" xfId="0" applyFont="1" applyFill="1" applyAlignment="1">
      <alignment horizontal="center" vertical="center"/>
    </xf>
    <xf numFmtId="0" fontId="3" fillId="2" borderId="2" xfId="0" applyFont="1"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12" fillId="4" borderId="5" xfId="0" applyFont="1" applyFill="1" applyBorder="1" applyAlignment="1">
      <alignment horizontal="center" vertical="top" wrapText="1"/>
    </xf>
    <xf numFmtId="0" fontId="0" fillId="4" borderId="2"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cellXfs>
  <cellStyles count="2">
    <cellStyle name="Normal" xfId="0" builtinId="0"/>
    <cellStyle name="Normal 2" xfId="1" xr:uid="{00000000-0005-0000-0000-000001000000}"/>
  </cellStyles>
  <dxfs count="2">
    <dxf>
      <fill>
        <patternFill>
          <bgColor theme="0"/>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268941</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idian\shares\Building\Building%20Services\Building%20(Master%20Folder)\Fee%20Calculators\Active%20Calculators\Fee%20Calculators%20Password%20Protected\Commercial%20Fee%20Calculation%20Worksheet%208.14.19%20PASSWORD=%20COMD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 Fee Calculator"/>
      <sheetName val="Assessments Calculator"/>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R65"/>
  <sheetViews>
    <sheetView showGridLines="0" tabSelected="1" showRuler="0" showOutlineSymbols="0" topLeftCell="A4" zoomScale="85" zoomScaleNormal="85" workbookViewId="0">
      <selection activeCell="B23" sqref="B23"/>
    </sheetView>
  </sheetViews>
  <sheetFormatPr defaultColWidth="9.140625" defaultRowHeight="12.75" x14ac:dyDescent="0.2"/>
  <cols>
    <col min="1" max="1" width="9.7109375" style="1" customWidth="1"/>
    <col min="2" max="2" width="83.140625" style="1" customWidth="1"/>
    <col min="3" max="3" width="22.140625" style="1" customWidth="1"/>
    <col min="4" max="4" width="12.140625" style="1" customWidth="1"/>
    <col min="5" max="5" width="15.42578125" style="44" customWidth="1"/>
    <col min="6" max="6" width="12.7109375" style="44" customWidth="1"/>
    <col min="7" max="7" width="29.28515625" style="2" customWidth="1"/>
    <col min="8" max="9" width="9.140625" style="1"/>
    <col min="10" max="10" width="33.140625" style="1" customWidth="1"/>
    <col min="11" max="16384" width="9.140625" style="1"/>
  </cols>
  <sheetData>
    <row r="1" spans="2:18" ht="20.100000000000001" customHeight="1" x14ac:dyDescent="0.2">
      <c r="B1" s="44"/>
      <c r="E1" s="43"/>
      <c r="G1" s="44"/>
      <c r="H1" s="59"/>
      <c r="I1" s="59"/>
      <c r="J1" s="59"/>
    </row>
    <row r="2" spans="2:18" ht="20.100000000000001" customHeight="1" x14ac:dyDescent="0.2">
      <c r="B2" s="46"/>
      <c r="E2" s="45"/>
      <c r="F2" s="46"/>
      <c r="G2" s="46"/>
      <c r="H2" s="59"/>
      <c r="I2" s="59"/>
      <c r="J2" s="59"/>
    </row>
    <row r="3" spans="2:18" ht="20.100000000000001" customHeight="1" x14ac:dyDescent="0.2">
      <c r="H3" s="59"/>
      <c r="I3" s="59"/>
      <c r="J3" s="59"/>
    </row>
    <row r="4" spans="2:18" ht="20.100000000000001" customHeight="1" x14ac:dyDescent="0.2">
      <c r="F4" s="3"/>
      <c r="G4" s="4"/>
      <c r="H4" s="59"/>
      <c r="I4" s="59"/>
      <c r="J4" s="59"/>
    </row>
    <row r="5" spans="2:18" ht="20.100000000000001" customHeight="1" x14ac:dyDescent="0.2">
      <c r="F5" s="3"/>
      <c r="G5" s="4"/>
      <c r="H5" s="59"/>
      <c r="I5" s="61"/>
      <c r="J5" s="61"/>
      <c r="K5" s="96"/>
    </row>
    <row r="6" spans="2:18" ht="20.100000000000001" customHeight="1" x14ac:dyDescent="0.2">
      <c r="B6" s="47"/>
      <c r="E6" s="47"/>
      <c r="F6" s="47"/>
      <c r="G6" s="47"/>
      <c r="H6" s="59"/>
      <c r="I6" s="61"/>
      <c r="J6" s="61"/>
      <c r="K6" s="96"/>
    </row>
    <row r="7" spans="2:18" s="44" customFormat="1" ht="33.75" customHeight="1" x14ac:dyDescent="0.2">
      <c r="B7" s="104" t="s">
        <v>34</v>
      </c>
      <c r="C7" s="104"/>
      <c r="D7" s="104"/>
      <c r="E7" s="104"/>
      <c r="F7" s="104"/>
      <c r="G7" s="104"/>
      <c r="H7" s="60"/>
      <c r="I7" s="86"/>
      <c r="J7" s="86"/>
      <c r="K7" s="97"/>
      <c r="L7" s="5"/>
      <c r="M7" s="5"/>
      <c r="N7" s="6"/>
      <c r="O7" s="6"/>
      <c r="P7" s="6"/>
      <c r="Q7" s="6"/>
      <c r="R7" s="6"/>
    </row>
    <row r="8" spans="2:18" s="40" customFormat="1" ht="33.75" customHeight="1" x14ac:dyDescent="0.2">
      <c r="B8" s="112" t="s">
        <v>32</v>
      </c>
      <c r="C8" s="112"/>
      <c r="D8" s="112"/>
      <c r="E8" s="112"/>
      <c r="F8" s="112"/>
      <c r="G8" s="112"/>
      <c r="H8" s="83"/>
      <c r="I8" s="98"/>
      <c r="J8" s="98"/>
      <c r="K8" s="99"/>
      <c r="L8" s="41"/>
      <c r="M8" s="41"/>
      <c r="N8" s="42"/>
      <c r="O8" s="42"/>
      <c r="P8" s="42"/>
      <c r="Q8" s="42"/>
      <c r="R8" s="42"/>
    </row>
    <row r="9" spans="2:18" s="40" customFormat="1" ht="18.95" customHeight="1" x14ac:dyDescent="0.25">
      <c r="B9" s="111" t="s">
        <v>28</v>
      </c>
      <c r="C9" s="111"/>
      <c r="D9" s="111"/>
      <c r="E9" s="111"/>
      <c r="F9" s="111"/>
      <c r="G9" s="111"/>
      <c r="H9" s="83"/>
      <c r="I9" s="98"/>
      <c r="J9" s="98"/>
      <c r="K9" s="99"/>
      <c r="L9" s="41"/>
      <c r="M9" s="41"/>
      <c r="N9" s="42"/>
      <c r="O9" s="42"/>
      <c r="P9" s="42"/>
      <c r="Q9" s="42"/>
      <c r="R9" s="42"/>
    </row>
    <row r="10" spans="2:18" s="40" customFormat="1" ht="18.95" customHeight="1" x14ac:dyDescent="0.25">
      <c r="B10" s="111" t="s">
        <v>29</v>
      </c>
      <c r="C10" s="111"/>
      <c r="D10" s="111"/>
      <c r="E10" s="111"/>
      <c r="F10" s="111"/>
      <c r="G10" s="111"/>
      <c r="H10" s="83" t="s">
        <v>42</v>
      </c>
      <c r="I10" s="85"/>
      <c r="J10" s="85"/>
      <c r="K10" s="85"/>
      <c r="L10" s="85"/>
      <c r="M10" s="41"/>
      <c r="N10" s="42"/>
      <c r="O10" s="42"/>
      <c r="P10" s="42"/>
      <c r="Q10" s="42"/>
      <c r="R10" s="42"/>
    </row>
    <row r="11" spans="2:18" s="44" customFormat="1" ht="35.25" customHeight="1" x14ac:dyDescent="0.2">
      <c r="B11" s="122" t="s">
        <v>33</v>
      </c>
      <c r="C11" s="122"/>
      <c r="D11" s="122"/>
      <c r="E11" s="122"/>
      <c r="F11" s="122"/>
      <c r="G11" s="122"/>
      <c r="H11" s="84" t="s">
        <v>43</v>
      </c>
      <c r="I11" s="86"/>
      <c r="J11" s="86"/>
      <c r="K11" s="86"/>
      <c r="L11" s="86"/>
      <c r="M11" s="5"/>
      <c r="N11" s="6"/>
      <c r="O11" s="6"/>
      <c r="P11" s="6"/>
      <c r="Q11" s="6"/>
      <c r="R11" s="6"/>
    </row>
    <row r="12" spans="2:18" ht="18" customHeight="1" x14ac:dyDescent="0.2">
      <c r="B12" s="93" t="s">
        <v>1</v>
      </c>
      <c r="C12" s="69" t="s">
        <v>0</v>
      </c>
      <c r="D12" s="120" t="s">
        <v>11</v>
      </c>
      <c r="E12" s="121"/>
      <c r="F12" s="69" t="s">
        <v>2</v>
      </c>
      <c r="G12" s="70" t="s">
        <v>3</v>
      </c>
      <c r="H12" s="56" t="s">
        <v>44</v>
      </c>
      <c r="I12" s="61"/>
      <c r="J12" s="61"/>
      <c r="K12" s="61"/>
      <c r="L12" s="61"/>
      <c r="M12" s="7"/>
      <c r="N12" s="8"/>
      <c r="O12" s="8"/>
      <c r="P12" s="8"/>
      <c r="Q12" s="8"/>
      <c r="R12" s="8"/>
    </row>
    <row r="13" spans="2:18" ht="18" customHeight="1" x14ac:dyDescent="0.2">
      <c r="B13" s="71" t="s">
        <v>20</v>
      </c>
      <c r="C13" s="71"/>
      <c r="D13" s="71"/>
      <c r="E13" s="71"/>
      <c r="F13" s="71"/>
      <c r="G13" s="71"/>
      <c r="H13" s="56"/>
      <c r="I13" s="61"/>
      <c r="J13" s="90" t="s">
        <v>10</v>
      </c>
      <c r="K13" s="90"/>
      <c r="L13" s="90"/>
      <c r="M13" s="90"/>
      <c r="N13" s="8"/>
      <c r="O13" s="8"/>
      <c r="P13" s="8"/>
      <c r="Q13" s="8"/>
      <c r="R13" s="8"/>
    </row>
    <row r="14" spans="2:18" ht="18" customHeight="1" x14ac:dyDescent="0.2">
      <c r="B14" s="9" t="s">
        <v>35</v>
      </c>
      <c r="C14" s="65"/>
      <c r="D14" s="105" t="s">
        <v>36</v>
      </c>
      <c r="E14" s="106"/>
      <c r="F14" s="10"/>
      <c r="G14" s="11"/>
      <c r="H14" s="56"/>
      <c r="I14" s="61"/>
      <c r="J14" s="100" t="s">
        <v>6</v>
      </c>
      <c r="K14" s="90"/>
      <c r="L14" s="90"/>
      <c r="M14" s="90"/>
      <c r="N14" s="8"/>
      <c r="O14" s="8"/>
      <c r="P14" s="8"/>
      <c r="Q14" s="8"/>
      <c r="R14" s="8"/>
    </row>
    <row r="15" spans="2:18" ht="18" customHeight="1" x14ac:dyDescent="0.2">
      <c r="B15" s="12" t="s">
        <v>25</v>
      </c>
      <c r="C15" s="87"/>
      <c r="D15" s="107" t="s">
        <v>16</v>
      </c>
      <c r="E15" s="108"/>
      <c r="F15" s="19">
        <v>5.5</v>
      </c>
      <c r="G15" s="16">
        <f>(+ROUNDUP(C15/1000,0)*5.5)+50</f>
        <v>50</v>
      </c>
      <c r="H15" s="56"/>
      <c r="I15" s="61"/>
      <c r="J15" s="100" t="s">
        <v>7</v>
      </c>
      <c r="K15" s="90" t="s">
        <v>10</v>
      </c>
      <c r="L15" s="90"/>
      <c r="M15" s="90"/>
      <c r="N15" s="8"/>
      <c r="O15" s="8"/>
      <c r="P15" s="8"/>
      <c r="Q15" s="8"/>
      <c r="R15" s="8"/>
    </row>
    <row r="16" spans="2:18" ht="18" customHeight="1" x14ac:dyDescent="0.2">
      <c r="B16" s="28" t="s">
        <v>57</v>
      </c>
      <c r="C16" s="65"/>
      <c r="D16" s="113" t="s">
        <v>58</v>
      </c>
      <c r="E16" s="114"/>
      <c r="F16" s="57"/>
      <c r="G16" s="33"/>
      <c r="H16" s="56"/>
      <c r="I16" s="61"/>
      <c r="J16" s="100" t="s">
        <v>8</v>
      </c>
      <c r="K16" s="100" t="s">
        <v>54</v>
      </c>
      <c r="L16" s="90"/>
      <c r="M16" s="90"/>
      <c r="N16" s="8"/>
      <c r="O16" s="8"/>
      <c r="P16" s="8"/>
      <c r="Q16" s="8"/>
      <c r="R16" s="8"/>
    </row>
    <row r="17" spans="1:18" ht="18" customHeight="1" x14ac:dyDescent="0.2">
      <c r="B17" s="88" t="s">
        <v>17</v>
      </c>
      <c r="C17" s="82" t="s">
        <v>53</v>
      </c>
      <c r="D17" s="109" t="s">
        <v>19</v>
      </c>
      <c r="E17" s="109"/>
      <c r="F17" s="15">
        <v>0.65</v>
      </c>
      <c r="G17" s="16">
        <f>G15*0.65</f>
        <v>32.5</v>
      </c>
      <c r="H17" s="56"/>
      <c r="I17" s="61"/>
      <c r="J17" s="90" t="s">
        <v>22</v>
      </c>
      <c r="K17" s="100" t="s">
        <v>55</v>
      </c>
      <c r="L17" s="90"/>
      <c r="M17" s="90"/>
      <c r="N17" s="8"/>
      <c r="O17" s="8"/>
      <c r="P17" s="8"/>
      <c r="Q17" s="8"/>
      <c r="R17" s="8"/>
    </row>
    <row r="18" spans="1:18" ht="18" customHeight="1" x14ac:dyDescent="0.2">
      <c r="B18" s="14" t="s">
        <v>18</v>
      </c>
      <c r="C18" s="13"/>
      <c r="D18" s="110" t="s">
        <v>19</v>
      </c>
      <c r="E18" s="110"/>
      <c r="F18" s="15">
        <v>0.3</v>
      </c>
      <c r="G18" s="16">
        <f>G15*0.3</f>
        <v>15</v>
      </c>
      <c r="H18" s="56"/>
      <c r="I18" s="61"/>
      <c r="J18" s="90"/>
      <c r="K18" s="90" t="s">
        <v>56</v>
      </c>
      <c r="L18" s="90"/>
      <c r="M18" s="90"/>
      <c r="N18" s="8"/>
      <c r="O18" s="8"/>
      <c r="P18" s="8"/>
      <c r="Q18" s="8"/>
      <c r="R18" s="8"/>
    </row>
    <row r="19" spans="1:18" ht="18" customHeight="1" x14ac:dyDescent="0.2">
      <c r="B19" s="72" t="s">
        <v>21</v>
      </c>
      <c r="C19" s="72"/>
      <c r="D19" s="72"/>
      <c r="E19" s="72"/>
      <c r="F19" s="72"/>
      <c r="G19" s="72"/>
      <c r="H19" s="56"/>
      <c r="I19" s="61"/>
      <c r="J19" s="61"/>
      <c r="K19" s="61"/>
      <c r="L19" s="61"/>
      <c r="M19" s="7"/>
      <c r="N19" s="8"/>
      <c r="O19" s="8"/>
      <c r="P19" s="8"/>
      <c r="Q19" s="8"/>
      <c r="R19" s="8"/>
    </row>
    <row r="20" spans="1:18" ht="18" customHeight="1" x14ac:dyDescent="0.2">
      <c r="B20" s="28" t="s">
        <v>39</v>
      </c>
      <c r="C20" s="17"/>
      <c r="D20" s="89" t="str">
        <f>IF($C16="","",IF($C16&gt;0,$C16/$C14))</f>
        <v/>
      </c>
      <c r="E20" s="64" t="s">
        <v>59</v>
      </c>
      <c r="F20" s="19">
        <f>IF(D20="",0,IF(D20&lt;=1200,190,IF(D20&lt;=1700,294,IF(D20&lt;=2500,402,IF(D20&lt;=3200,482,IF(D20&gt;=3201,542))))))</f>
        <v>0</v>
      </c>
      <c r="G20" s="16">
        <f>C14*F20</f>
        <v>0</v>
      </c>
      <c r="H20" s="56"/>
      <c r="I20" s="61"/>
      <c r="J20" s="61"/>
      <c r="K20" s="61"/>
      <c r="L20" s="61"/>
      <c r="M20" s="7"/>
      <c r="N20" s="8"/>
      <c r="O20" s="8"/>
      <c r="P20" s="8"/>
      <c r="Q20" s="8"/>
      <c r="R20" s="8"/>
    </row>
    <row r="21" spans="1:18" ht="18" customHeight="1" x14ac:dyDescent="0.2">
      <c r="B21" s="28" t="s">
        <v>40</v>
      </c>
      <c r="C21" s="17"/>
      <c r="D21" s="89" t="str">
        <f>IF($C16="","",IF($C16&gt;0,$C16/$C14))</f>
        <v/>
      </c>
      <c r="E21" s="64" t="s">
        <v>59</v>
      </c>
      <c r="F21" s="20">
        <f>IF(D20="",0,IF(D20&lt;=1200,470,IF(D20&lt;=1700,726,IF(D20&lt;=2500,995,IF(D20&lt;=3200,1192,IF(D20&gt;=3201,1339))))))</f>
        <v>0</v>
      </c>
      <c r="G21" s="16">
        <f>C14*F21</f>
        <v>0</v>
      </c>
      <c r="H21" s="59"/>
      <c r="I21" s="61"/>
      <c r="J21" s="61"/>
      <c r="K21" s="61"/>
      <c r="L21" s="61"/>
      <c r="M21" s="7"/>
      <c r="N21" s="8"/>
      <c r="O21" s="8"/>
      <c r="P21" s="8"/>
      <c r="Q21" s="8"/>
      <c r="R21" s="8"/>
    </row>
    <row r="22" spans="1:18" ht="18" customHeight="1" x14ac:dyDescent="0.2">
      <c r="B22" s="28" t="s">
        <v>41</v>
      </c>
      <c r="C22" s="17"/>
      <c r="D22" s="89" t="str">
        <f>IF($C16="","",IF($C16&gt;0,$C16/$C14))</f>
        <v/>
      </c>
      <c r="E22" s="64" t="s">
        <v>59</v>
      </c>
      <c r="F22" s="20">
        <f>IF(D20="",0,IF(D20&lt;=1200,1946,IF(D20&lt;=1700,3006,IF(D20&lt;=2500,4119,IF(D20&lt;=3200,4935,IF(D20&gt;=3201,5544))))))</f>
        <v>0</v>
      </c>
      <c r="G22" s="21">
        <f>F22*C14</f>
        <v>0</v>
      </c>
      <c r="H22" s="59"/>
      <c r="I22" s="61"/>
      <c r="J22" s="61"/>
      <c r="K22" s="61"/>
      <c r="L22" s="61"/>
      <c r="M22" s="7"/>
      <c r="N22" s="8"/>
      <c r="O22" s="8"/>
      <c r="P22" s="8"/>
      <c r="Q22" s="8"/>
      <c r="R22" s="8"/>
    </row>
    <row r="23" spans="1:18" ht="50.25" customHeight="1" x14ac:dyDescent="0.2">
      <c r="B23" s="103" t="s">
        <v>61</v>
      </c>
      <c r="C23" s="102"/>
      <c r="D23" s="92" t="str">
        <f>IF(C14="","",C14)</f>
        <v/>
      </c>
      <c r="E23" s="92" t="s">
        <v>16</v>
      </c>
      <c r="F23" s="22" t="s">
        <v>60</v>
      </c>
      <c r="G23" s="101"/>
      <c r="H23" s="59"/>
      <c r="I23" s="61"/>
      <c r="J23" s="61"/>
      <c r="K23" s="61"/>
      <c r="L23" s="61"/>
      <c r="M23" s="7"/>
      <c r="N23" s="8"/>
      <c r="O23" s="8"/>
      <c r="P23" s="8"/>
      <c r="Q23" s="8"/>
      <c r="R23" s="8"/>
    </row>
    <row r="24" spans="1:18" ht="18" customHeight="1" x14ac:dyDescent="0.2">
      <c r="B24" s="50" t="s">
        <v>37</v>
      </c>
      <c r="C24" s="54"/>
      <c r="D24" s="52" t="str">
        <f>IF(C14="","",C14)</f>
        <v/>
      </c>
      <c r="E24" s="23" t="s">
        <v>36</v>
      </c>
      <c r="F24" s="24">
        <v>1696</v>
      </c>
      <c r="G24" s="25">
        <f>C14*F24</f>
        <v>0</v>
      </c>
      <c r="H24" s="59"/>
      <c r="I24" s="61"/>
      <c r="J24" s="61"/>
      <c r="K24" s="61"/>
      <c r="L24" s="61"/>
      <c r="M24" s="7"/>
      <c r="N24" s="8"/>
      <c r="O24" s="8"/>
      <c r="P24" s="8"/>
      <c r="Q24" s="8"/>
      <c r="R24" s="8"/>
    </row>
    <row r="25" spans="1:18" ht="18" customHeight="1" x14ac:dyDescent="0.2">
      <c r="B25" s="51" t="s">
        <v>38</v>
      </c>
      <c r="C25" s="55"/>
      <c r="D25" s="53" t="str">
        <f>IF(C14="","",C14)</f>
        <v/>
      </c>
      <c r="E25" s="23" t="s">
        <v>36</v>
      </c>
      <c r="F25" s="24">
        <v>5807</v>
      </c>
      <c r="G25" s="25">
        <f>F25*C14</f>
        <v>0</v>
      </c>
      <c r="H25" s="59"/>
      <c r="I25" s="61"/>
      <c r="J25" s="61"/>
      <c r="K25" s="61"/>
      <c r="L25" s="61"/>
      <c r="M25" s="7"/>
      <c r="N25" s="8"/>
      <c r="O25" s="8"/>
      <c r="P25" s="8"/>
      <c r="Q25" s="8"/>
      <c r="R25" s="8"/>
    </row>
    <row r="26" spans="1:18" ht="18" customHeight="1" x14ac:dyDescent="0.2">
      <c r="B26" s="72" t="s">
        <v>9</v>
      </c>
      <c r="C26" s="73"/>
      <c r="D26" s="72"/>
      <c r="E26" s="72"/>
      <c r="F26" s="72"/>
      <c r="G26" s="72"/>
      <c r="H26" s="59"/>
      <c r="I26" s="61"/>
      <c r="J26" s="61"/>
      <c r="K26" s="61"/>
      <c r="L26" s="61"/>
      <c r="M26" s="7"/>
      <c r="N26" s="8"/>
      <c r="O26" s="8"/>
      <c r="P26" s="8"/>
      <c r="Q26" s="8"/>
      <c r="R26" s="8"/>
    </row>
    <row r="27" spans="1:18" ht="18" customHeight="1" x14ac:dyDescent="0.2">
      <c r="B27" s="18" t="str">
        <f>IF(D27="Select Meter Size","Select the Domestic Water Meter Size needed for your project and enter the appropriate quantity",D27)</f>
        <v>Select the Domestic Water Meter Size needed for your project and enter the appropriate quantity</v>
      </c>
      <c r="C27" s="67"/>
      <c r="D27" s="123" t="s">
        <v>10</v>
      </c>
      <c r="E27" s="124"/>
      <c r="F27" s="19" t="str">
        <f>IF(D27="Select Meter",0,IF(D27="3/4 Inch Water Meter",418.52,IF(D27="1 Inch Water Meter",481.82,IF(D27="1 1/2 Inch Water Meter",2051.86,IF(D27="2 Inch Water Meter",2247.09,IF(D27="4 Inch Compound Water Meter",4632.59,"N/A"))))))</f>
        <v>N/A</v>
      </c>
      <c r="G27" s="16" t="str">
        <f>IF(C27="","",IF(F27="N/A","Cannot Calculate without Size",IF(F27&gt;0,F27*C27)))</f>
        <v/>
      </c>
      <c r="H27" s="56" t="s">
        <v>47</v>
      </c>
      <c r="I27" s="61"/>
      <c r="J27" s="61"/>
      <c r="K27" s="62"/>
      <c r="L27" s="61"/>
      <c r="M27" s="7"/>
      <c r="N27" s="8"/>
      <c r="O27" s="8"/>
      <c r="P27" s="8"/>
      <c r="Q27" s="8"/>
      <c r="R27" s="8"/>
    </row>
    <row r="28" spans="1:18" ht="18" customHeight="1" x14ac:dyDescent="0.2">
      <c r="B28" s="18" t="str">
        <f>IF(D28="Select Meter Size","Select the Landscape Meter Size needed for your project and enter the appropriate quantity",D28)</f>
        <v>Select the Landscape Meter Size needed for your project and enter the appropriate quantity</v>
      </c>
      <c r="C28" s="67"/>
      <c r="D28" s="123" t="s">
        <v>10</v>
      </c>
      <c r="E28" s="124"/>
      <c r="F28" s="19" t="str">
        <f>IF(D28="Select Meter",0,IF(D28="1 1/2 Inch Landscape Meter",1478.71,IF(D28="2 Inch Landscape Meter",1744.89,IF(D28="4 Inch Landscape Meter",3785.11,"N/A"))))</f>
        <v>N/A</v>
      </c>
      <c r="G28" s="16" t="str">
        <f>IF(C28="","",IF(F28="N/A","Cannot Calculate without Size",IF(F28&gt;0,F28*C28)))</f>
        <v/>
      </c>
      <c r="H28" s="56" t="s">
        <v>48</v>
      </c>
      <c r="I28" s="61"/>
      <c r="J28" s="61"/>
      <c r="K28" s="62"/>
      <c r="L28" s="61"/>
      <c r="M28" s="7"/>
      <c r="N28" s="8"/>
      <c r="O28" s="8"/>
      <c r="P28" s="8"/>
      <c r="Q28" s="8"/>
      <c r="R28" s="8"/>
    </row>
    <row r="29" spans="1:18" ht="18" customHeight="1" x14ac:dyDescent="0.2">
      <c r="B29" s="74" t="s">
        <v>14</v>
      </c>
      <c r="C29" s="74"/>
      <c r="D29" s="71"/>
      <c r="E29" s="75"/>
      <c r="F29" s="76"/>
      <c r="G29" s="77"/>
      <c r="H29" s="56" t="s">
        <v>49</v>
      </c>
      <c r="I29" s="61"/>
      <c r="J29" s="62"/>
      <c r="K29" s="62"/>
      <c r="L29" s="61"/>
      <c r="M29" s="7"/>
      <c r="N29" s="8"/>
      <c r="O29" s="8"/>
      <c r="P29" s="8"/>
      <c r="Q29" s="8"/>
      <c r="R29" s="8"/>
    </row>
    <row r="30" spans="1:18" ht="18" customHeight="1" x14ac:dyDescent="0.2">
      <c r="B30" s="28" t="s">
        <v>45</v>
      </c>
      <c r="C30" s="68" t="s">
        <v>47</v>
      </c>
      <c r="D30" s="48"/>
      <c r="E30" s="95"/>
      <c r="F30" s="57"/>
      <c r="G30" s="16" t="str">
        <f>IF(AND(C30="No",C31="Yes"),"$144.00","")</f>
        <v/>
      </c>
      <c r="H30" s="59"/>
      <c r="I30" s="61"/>
      <c r="J30" s="62"/>
      <c r="K30" s="62"/>
      <c r="L30" s="61"/>
      <c r="M30" s="7"/>
      <c r="N30" s="8"/>
      <c r="O30" s="8"/>
      <c r="P30" s="8"/>
      <c r="Q30" s="8"/>
      <c r="R30" s="8"/>
    </row>
    <row r="31" spans="1:18" ht="18" customHeight="1" x14ac:dyDescent="0.2">
      <c r="B31" s="58" t="s">
        <v>50</v>
      </c>
      <c r="C31" s="66" t="s">
        <v>47</v>
      </c>
      <c r="D31" s="126"/>
      <c r="E31" s="127"/>
      <c r="F31" s="57"/>
      <c r="G31" s="16" t="str">
        <f>IF(AND(C30="No",C31="No"),"$96.00","")</f>
        <v/>
      </c>
      <c r="H31" s="59"/>
      <c r="I31" s="61"/>
      <c r="J31" s="62"/>
      <c r="K31" s="62"/>
      <c r="L31" s="61"/>
      <c r="M31" s="7"/>
      <c r="N31" s="8"/>
      <c r="O31" s="8"/>
      <c r="P31" s="8"/>
      <c r="Q31" s="8"/>
      <c r="R31" s="8"/>
    </row>
    <row r="32" spans="1:18" ht="18" customHeight="1" x14ac:dyDescent="0.2">
      <c r="A32" s="34" t="str">
        <f>IF(C30="Yes","REQUIRED",IF(C30="No","N/A",IF(C30="Select","")))</f>
        <v/>
      </c>
      <c r="B32" s="58" t="s">
        <v>51</v>
      </c>
      <c r="C32" s="91"/>
      <c r="D32" s="128" t="s">
        <v>46</v>
      </c>
      <c r="E32" s="129"/>
      <c r="F32" s="19">
        <v>0.4</v>
      </c>
      <c r="G32" s="16" t="str">
        <f>IF(A32="N/A","N/A",IF(A32="REQUIRED",288+F32*C32,""))</f>
        <v/>
      </c>
      <c r="H32" s="59"/>
      <c r="I32" s="59"/>
      <c r="J32" s="62"/>
      <c r="K32" s="62"/>
      <c r="L32" s="61"/>
      <c r="M32" s="7"/>
      <c r="N32" s="8"/>
      <c r="O32" s="8"/>
      <c r="P32" s="8"/>
      <c r="Q32" s="8"/>
      <c r="R32" s="8"/>
    </row>
    <row r="33" spans="1:18" ht="18" customHeight="1" x14ac:dyDescent="0.2">
      <c r="A33" s="34" t="str">
        <f>IF(C30="Yes","REQUIRED",IF(C30="No","N/A",IF(C30="Select","")))</f>
        <v/>
      </c>
      <c r="B33" s="26" t="s">
        <v>31</v>
      </c>
      <c r="C33" s="91"/>
      <c r="D33" s="132" t="s">
        <v>12</v>
      </c>
      <c r="E33" s="133"/>
      <c r="F33" s="19">
        <v>500</v>
      </c>
      <c r="G33" s="16" t="str">
        <f>IF(A33="N/A","N/A",IF(A33="REQUIRED",C33*F33,""))</f>
        <v/>
      </c>
      <c r="H33" s="59"/>
      <c r="I33" s="60"/>
      <c r="J33" s="62"/>
      <c r="K33" s="62"/>
      <c r="L33" s="61"/>
      <c r="M33" s="8"/>
      <c r="N33" s="8"/>
      <c r="O33" s="8"/>
      <c r="P33" s="8"/>
      <c r="Q33" s="8"/>
      <c r="R33" s="8"/>
    </row>
    <row r="34" spans="1:18" ht="18" customHeight="1" x14ac:dyDescent="0.2">
      <c r="B34" s="26" t="s">
        <v>30</v>
      </c>
      <c r="C34" s="66"/>
      <c r="D34" s="130" t="s">
        <v>13</v>
      </c>
      <c r="E34" s="131"/>
      <c r="F34" s="81" t="s">
        <v>24</v>
      </c>
      <c r="G34" s="16">
        <f>IF(C34=0,0,IF(C34&lt;1.5,48,IF(C34&lt;=10,96,IF(C34&gt;10,192))))</f>
        <v>0</v>
      </c>
      <c r="H34" s="59"/>
      <c r="I34" s="60"/>
      <c r="J34" s="62"/>
      <c r="K34" s="62"/>
      <c r="L34" s="61"/>
      <c r="M34" s="8"/>
      <c r="N34" s="8"/>
      <c r="O34" s="8"/>
      <c r="P34" s="8"/>
      <c r="Q34" s="8"/>
      <c r="R34" s="8"/>
    </row>
    <row r="35" spans="1:18" ht="18" customHeight="1" x14ac:dyDescent="0.2">
      <c r="B35" s="71" t="s">
        <v>15</v>
      </c>
      <c r="C35" s="71"/>
      <c r="D35" s="72"/>
      <c r="E35" s="78"/>
      <c r="F35" s="79"/>
      <c r="G35" s="80"/>
      <c r="H35" s="59"/>
      <c r="I35" s="60"/>
      <c r="J35" s="62"/>
      <c r="K35" s="27"/>
      <c r="L35" s="8"/>
      <c r="M35" s="8"/>
      <c r="N35" s="8"/>
      <c r="O35" s="8"/>
      <c r="P35" s="8"/>
      <c r="Q35" s="8"/>
      <c r="R35" s="8"/>
    </row>
    <row r="36" spans="1:18" ht="24.95" customHeight="1" x14ac:dyDescent="0.2">
      <c r="B36" s="28" t="s">
        <v>5</v>
      </c>
      <c r="C36" s="115" t="s">
        <v>27</v>
      </c>
      <c r="D36" s="125" t="s">
        <v>52</v>
      </c>
      <c r="E36" s="125"/>
      <c r="F36" s="19">
        <v>72</v>
      </c>
      <c r="G36" s="16" t="str">
        <f>IF(C30="No","$72.00","")</f>
        <v/>
      </c>
      <c r="H36" s="59"/>
      <c r="I36" s="60"/>
      <c r="J36" s="63"/>
      <c r="K36"/>
    </row>
    <row r="37" spans="1:18" ht="24.95" customHeight="1" thickBot="1" x14ac:dyDescent="0.25">
      <c r="B37" s="26" t="s">
        <v>26</v>
      </c>
      <c r="C37" s="116"/>
      <c r="D37" s="94" t="str">
        <f>IF(C32&gt;0,C32,"N/A")</f>
        <v>N/A</v>
      </c>
      <c r="E37" s="94" t="s">
        <v>46</v>
      </c>
      <c r="F37" s="19">
        <v>0.69</v>
      </c>
      <c r="G37" s="16" t="str">
        <f>IF(C32&gt;0,C32*0.69,"")</f>
        <v/>
      </c>
      <c r="H37" s="59"/>
      <c r="I37" s="59"/>
      <c r="J37" s="63"/>
      <c r="K37"/>
    </row>
    <row r="38" spans="1:18" ht="18" customHeight="1" thickBot="1" x14ac:dyDescent="0.25">
      <c r="B38" s="29"/>
      <c r="C38" s="29"/>
      <c r="D38" s="29"/>
      <c r="E38" s="29"/>
      <c r="F38" s="30" t="s">
        <v>4</v>
      </c>
      <c r="G38" s="31">
        <f>SUM(G14:G37)</f>
        <v>97.5</v>
      </c>
      <c r="H38" s="59"/>
      <c r="I38" s="59"/>
      <c r="J38" s="59"/>
    </row>
    <row r="39" spans="1:18" ht="18" customHeight="1" x14ac:dyDescent="0.2">
      <c r="B39" s="29"/>
      <c r="C39" s="29"/>
      <c r="D39" s="29"/>
      <c r="E39" s="29"/>
      <c r="F39" s="32"/>
      <c r="G39" s="33"/>
    </row>
    <row r="40" spans="1:18" ht="33" customHeight="1" x14ac:dyDescent="0.2">
      <c r="B40" s="117" t="s">
        <v>23</v>
      </c>
      <c r="C40" s="118"/>
      <c r="D40" s="119"/>
      <c r="E40" s="49"/>
      <c r="F40" s="32"/>
      <c r="G40" s="33"/>
    </row>
    <row r="41" spans="1:18" x14ac:dyDescent="0.2">
      <c r="B41" s="34"/>
      <c r="E41" s="34"/>
    </row>
    <row r="45" spans="1:18" x14ac:dyDescent="0.2">
      <c r="E45" s="35"/>
    </row>
    <row r="46" spans="1:18" x14ac:dyDescent="0.2">
      <c r="B46" s="36"/>
    </row>
    <row r="47" spans="1:18" x14ac:dyDescent="0.2">
      <c r="B47" s="36"/>
    </row>
    <row r="48" spans="1:18" x14ac:dyDescent="0.2">
      <c r="B48" s="36"/>
    </row>
    <row r="49" spans="2:6" x14ac:dyDescent="0.2">
      <c r="B49" s="36"/>
    </row>
    <row r="51" spans="2:6" x14ac:dyDescent="0.2">
      <c r="B51" s="38"/>
      <c r="E51" s="37"/>
      <c r="F51" s="37"/>
    </row>
    <row r="53" spans="2:6" x14ac:dyDescent="0.2">
      <c r="E53" s="35"/>
    </row>
    <row r="54" spans="2:6" x14ac:dyDescent="0.2">
      <c r="B54" s="39"/>
    </row>
    <row r="55" spans="2:6" x14ac:dyDescent="0.2">
      <c r="B55" s="39"/>
    </row>
    <row r="56" spans="2:6" x14ac:dyDescent="0.2">
      <c r="B56" s="39"/>
    </row>
    <row r="58" spans="2:6" x14ac:dyDescent="0.2">
      <c r="B58" s="38"/>
      <c r="E58" s="37"/>
    </row>
    <row r="60" spans="2:6" x14ac:dyDescent="0.2">
      <c r="E60" s="35"/>
    </row>
    <row r="61" spans="2:6" x14ac:dyDescent="0.2">
      <c r="B61" s="38"/>
    </row>
    <row r="62" spans="2:6" x14ac:dyDescent="0.2">
      <c r="B62" s="38"/>
    </row>
    <row r="63" spans="2:6" x14ac:dyDescent="0.2">
      <c r="B63" s="38"/>
    </row>
    <row r="65" spans="2:6" x14ac:dyDescent="0.2">
      <c r="B65" s="38"/>
      <c r="E65" s="37"/>
      <c r="F65" s="37"/>
    </row>
  </sheetData>
  <sortState xmlns:xlrd2="http://schemas.microsoft.com/office/spreadsheetml/2017/richdata2" ref="J14:K25">
    <sortCondition ref="J14"/>
  </sortState>
  <dataConsolidate/>
  <mergeCells count="20">
    <mergeCell ref="C36:C37"/>
    <mergeCell ref="B40:D40"/>
    <mergeCell ref="D12:E12"/>
    <mergeCell ref="B10:G10"/>
    <mergeCell ref="B11:G11"/>
    <mergeCell ref="D27:E27"/>
    <mergeCell ref="D28:E28"/>
    <mergeCell ref="D36:E36"/>
    <mergeCell ref="D31:E31"/>
    <mergeCell ref="D32:E32"/>
    <mergeCell ref="D34:E34"/>
    <mergeCell ref="D33:E33"/>
    <mergeCell ref="B7:G7"/>
    <mergeCell ref="D14:E14"/>
    <mergeCell ref="D15:E15"/>
    <mergeCell ref="D17:E17"/>
    <mergeCell ref="D18:E18"/>
    <mergeCell ref="B9:G9"/>
    <mergeCell ref="B8:G8"/>
    <mergeCell ref="D16:E16"/>
  </mergeCells>
  <phoneticPr fontId="0" type="noConversion"/>
  <conditionalFormatting sqref="C24:C25">
    <cfRule type="iconSet" priority="4">
      <iconSet iconSet="3Symbols">
        <cfvo type="percent" val="0"/>
        <cfvo type="percent" val="33"/>
        <cfvo type="percent" val="67"/>
      </iconSet>
    </cfRule>
  </conditionalFormatting>
  <conditionalFormatting sqref="C32:C33">
    <cfRule type="expression" dxfId="1" priority="2">
      <formula>$A$32="REQUIRED"</formula>
    </cfRule>
  </conditionalFormatting>
  <conditionalFormatting sqref="G23">
    <cfRule type="expression" dxfId="0" priority="1">
      <formula>$A23="N/A"</formula>
    </cfRule>
  </conditionalFormatting>
  <dataValidations count="11">
    <dataValidation allowBlank="1" showInputMessage="1" showErrorMessage="1" prompt="Calculate this value assuming all materials and labor are purchased at full market value (even if some labor or materials are donated). " sqref="B15:B16" xr:uid="{00000000-0002-0000-0000-000000000000}"/>
    <dataValidation type="whole" allowBlank="1" showInputMessage="1" showErrorMessage="1" error="Enter the total number of water meters needed of the selected size." prompt="Enter quantity " sqref="C27:C28" xr:uid="{00000000-0002-0000-0000-000001000000}">
      <formula1>1</formula1>
      <formula2>1000</formula2>
    </dataValidation>
    <dataValidation type="list" allowBlank="1" showInputMessage="1" showErrorMessage="1" sqref="C30:C31" xr:uid="{00000000-0002-0000-0000-000002000000}">
      <formula1>$H$27:$H$29</formula1>
    </dataValidation>
    <dataValidation allowBlank="1" showInputMessage="1" showErrorMessage="1" prompt="The price for drainage review is incremental, so there is not a set unit price." sqref="F34" xr:uid="{00000000-0002-0000-0000-000003000000}"/>
    <dataValidation allowBlank="1" showInputMessage="1" showErrorMessage="1" prompt="This fee ONLY applies to drainage facilities that will not be owned or maintained by ACHD" sqref="B34:C34" xr:uid="{00000000-0002-0000-0000-000004000000}"/>
    <dataValidation allowBlank="1" showInputMessage="1" sqref="B24:G25" xr:uid="{00000000-0002-0000-0000-000005000000}"/>
    <dataValidation type="list" allowBlank="1" showInputMessage="1" showErrorMessage="1" sqref="C23" xr:uid="{00000000-0002-0000-0000-000006000000}">
      <formula1>$H$10:$H$12</formula1>
    </dataValidation>
    <dataValidation allowBlank="1" showInputMessage="1" showErrorMessage="1" prompt="This value should be a total project cost assuming all materials and labor are purchased at full market value (even if some labor or materials are donated). " sqref="C15" xr:uid="{00000000-0002-0000-0000-000009000000}"/>
    <dataValidation type="list" allowBlank="1" showInputMessage="1" showErrorMessage="1" prompt="The cost for domestic meters and landscape meters are the same. Remember to add all meters in your project to get the correct fee amount." sqref="D28:E28" xr:uid="{00000000-0002-0000-0000-00000A000000}">
      <formula1>$K$15:$K$18</formula1>
    </dataValidation>
    <dataValidation type="list" allowBlank="1" showInputMessage="1" showErrorMessage="1" prompt="The cost for domestic meters and landscape meters are the same. Remember to add all meters in your project to get the correct fee amount." sqref="D27:E27" xr:uid="{00000000-0002-0000-0000-00000B000000}">
      <formula1>$J$13:$J$17</formula1>
    </dataValidation>
    <dataValidation allowBlank="1" showInputMessage="1" showErrorMessage="1" prompt="The City does not calculate ACHD's fees. Please contact ACHD to calculate. " sqref="G23" xr:uid="{9865C563-84C8-4DDE-AD65-3E35F56C52D1}"/>
  </dataValidations>
  <printOptions horizontalCentered="1"/>
  <pageMargins left="0.25" right="0.25" top="0.25" bottom="0.25" header="0.3" footer="0.3"/>
  <pageSetup scale="6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Building Fee Calculator</vt:lpstr>
      <vt:lpstr>_4_Inch_Turbo_Water_Meter</vt:lpstr>
      <vt:lpstr>Meter_Type</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2019-08-14T15:32:31Z</cp:lastPrinted>
  <dcterms:created xsi:type="dcterms:W3CDTF">2000-07-27T22:24:14Z</dcterms:created>
  <dcterms:modified xsi:type="dcterms:W3CDTF">2026-06-09T16:39:05Z</dcterms:modified>
</cp:coreProperties>
</file>